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нструкция" sheetId="1" state="visible" r:id="rId3"/>
    <sheet name="Вложения" sheetId="2" state="visible" r:id="rId4"/>
    <sheet name="Допущения" sheetId="3" state="visible" r:id="rId5"/>
    <sheet name="Расчет" sheetId="4" state="visible" r:id="rId6"/>
    <sheet name="Сценарии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<sst xmlns="http://schemas.openxmlformats.org/spreadsheetml/2006/main" count="152" uniqueCount="126">
  <si>
    <t xml:space="preserve">Бизнес-план ассенизаторской машины</t>
  </si>
  <si>
    <t xml:space="preserve">Калькулятор от сервиса Ассенизатор онлайн. Подставьте свои цифры в желтые ячейки - остальное посчитается само.</t>
  </si>
  <si>
    <t xml:space="preserve">Порядок работы</t>
  </si>
  <si>
    <t xml:space="preserve">1. Лист «Вложения» - что надо потратить один раз до первого заказа.</t>
  </si>
  <si>
    <t xml:space="preserve">2. Лист «Допущения» - выручка, переменные и постоянные расходы, налоги. Это главный лист.</t>
  </si>
  <si>
    <t xml:space="preserve">3. Лист «Расчет» - отчет за год, точка безубыточности, окупаемость. Считается сам.</t>
  </si>
  <si>
    <t xml:space="preserve">4. Лист «Сценарии» - три варианта: пессимистичный, базовый, оптимистичный.</t>
  </si>
  <si>
    <t xml:space="preserve">Правило номер один</t>
  </si>
  <si>
    <t xml:space="preserve">Все цифры, кроме федеральных, надо добывать в своем городе. Тариф на слив, цену на услугу, зарплату водителя и стоимость гаража нельзя взять из статьи - их узнают звонками.</t>
  </si>
  <si>
    <t xml:space="preserve">Как узнать свою цену: обзвоните пять-семь местных операторов под видом клиента и спросите цену на откачку четырех кубов со шлангом десять метров. Полчаса работы, точность выше любой статьи.</t>
  </si>
  <si>
    <t xml:space="preserve">Как узнать тариф на слив: позвоните в водоканал или на очистные. В открытом доступе его почти никто не публикует.</t>
  </si>
  <si>
    <t xml:space="preserve">Ориентиры на август 2026 года</t>
  </si>
  <si>
    <t xml:space="preserve">Дизель - 88,48 руб./л (Росстат, неделя 11-17 августа), рост с начала года 18,4 процента.</t>
  </si>
  <si>
    <t xml:space="preserve">Прием ЖБО на очистных - найденный диапазон 35-66 руб./м3 по разным городам.</t>
  </si>
  <si>
    <t xml:space="preserve">Одна машина делает 3-7 выездов в день, около 100 заказов в месяц. Для первого года планируйте 60-80.</t>
  </si>
  <si>
    <t xml:space="preserve">Фиксированные страховые взносы ИП за себя - 57 390 руб. в год плюс 1 процент с дохода свыше 300 тыс.</t>
  </si>
  <si>
    <t xml:space="preserve">Порог освобождения от НДС на УСН - 20 млн руб. по доходу за предыдущий год.</t>
  </si>
  <si>
    <t xml:space="preserve">Чего не хватает в большинстве чужих планов</t>
  </si>
  <si>
    <t xml:space="preserve">Амортизации. Машина изнашивается, и через пять лет на следующую денег не окажется.</t>
  </si>
  <si>
    <t xml:space="preserve">Легализации переоборудования, если ставите бочку на свое шасси: 45-70 тыс. руб.</t>
  </si>
  <si>
    <t xml:space="preserve">Строки на потерянные заказы. При среднем чеке 3 000 руб. одна потеря в день - это 90 тыс. руб. в месяц.</t>
  </si>
  <si>
    <t xml:space="preserve">Простоев: поломка, ожидание запчасти, закрытая на выходные точка слива.</t>
  </si>
  <si>
    <t xml:space="preserve">Вложения на старте</t>
  </si>
  <si>
    <t xml:space="preserve">Заполните желтые ячейки. Ориентиры в колонке справа.</t>
  </si>
  <si>
    <t xml:space="preserve">Статья</t>
  </si>
  <si>
    <t xml:space="preserve">Сумма, руб.</t>
  </si>
  <si>
    <t xml:space="preserve">Ориентир</t>
  </si>
  <si>
    <t xml:space="preserve">Машина или переоборудование</t>
  </si>
  <si>
    <t xml:space="preserve">б/у ГАЗ-3307 2006-2008: 800-850 тыс.; ГАЗ-3309 2010-2013: 1,0-1,7 млн; КАМАЗ 65115 10 лет: 2,2-3,0 млн; новый ГАЗон Next 4,3 м3: 5,57 млн</t>
  </si>
  <si>
    <t xml:space="preserve">Легализация переоборудования</t>
  </si>
  <si>
    <t xml:space="preserve">Если ставите бочку на свое шасси: 45-70 тыс. руб. через лабораторию и ГИБДД</t>
  </si>
  <si>
    <t xml:space="preserve">Регистрация ИП или ООО, документы</t>
  </si>
  <si>
    <t xml:space="preserve">Госпошлина, печать, расчетный счет</t>
  </si>
  <si>
    <t xml:space="preserve">Лицензия (подготовка документов)</t>
  </si>
  <si>
    <t xml:space="preserve">Госпошлина 7 500 руб. НЕ уплачивается по заявлениям до 31.12.2029</t>
  </si>
  <si>
    <t xml:space="preserve">Постановка на учет, ОСАГО</t>
  </si>
  <si>
    <t xml:space="preserve">ОСАГО на грузовик до 16 т: реальный полис в Москве с хорошим КБМ около 11 тыс.</t>
  </si>
  <si>
    <t xml:space="preserve">Первичное оснащение</t>
  </si>
  <si>
    <t xml:space="preserve">Запасной рукав, инструмент, спецодежда, огнетушитель, аптечка</t>
  </si>
  <si>
    <t xml:space="preserve">Оборотные средства на 1-2 месяца</t>
  </si>
  <si>
    <t xml:space="preserve">Топливо, слив, мелкий ремонт, пока поток не устоялся</t>
  </si>
  <si>
    <t xml:space="preserve">Реклама на старте</t>
  </si>
  <si>
    <t xml:space="preserve">Карточки в картах бесплатны, Авито и объявления - недорого</t>
  </si>
  <si>
    <t xml:space="preserve">Прочее и резерв</t>
  </si>
  <si>
    <t xml:space="preserve">Насос и рукав - расходники, закладывайте запас</t>
  </si>
  <si>
    <t xml:space="preserve">ИТОГО ВЛОЖЕНИЙ</t>
  </si>
  <si>
    <t xml:space="preserve">Допущения</t>
  </si>
  <si>
    <t xml:space="preserve">Главный лист. Все желтые ячейки - ваши цифры.</t>
  </si>
  <si>
    <t xml:space="preserve">Выручка</t>
  </si>
  <si>
    <t xml:space="preserve">Параметр</t>
  </si>
  <si>
    <t xml:space="preserve">Значение</t>
  </si>
  <si>
    <t xml:space="preserve">Единица</t>
  </si>
  <si>
    <t xml:space="preserve">Заказов в месяц</t>
  </si>
  <si>
    <t xml:space="preserve">шт.</t>
  </si>
  <si>
    <t xml:space="preserve">Средний чек</t>
  </si>
  <si>
    <t xml:space="preserve">руб.</t>
  </si>
  <si>
    <t xml:space="preserve">Средний объем заказа</t>
  </si>
  <si>
    <t xml:space="preserve">м3</t>
  </si>
  <si>
    <t xml:space="preserve">Доплаты (рукав, дальность), доля от чека</t>
  </si>
  <si>
    <t xml:space="preserve">доля</t>
  </si>
  <si>
    <t xml:space="preserve">Переменные расходы на один рейс</t>
  </si>
  <si>
    <t xml:space="preserve">Тариф на слив</t>
  </si>
  <si>
    <t xml:space="preserve">руб./м3</t>
  </si>
  <si>
    <t xml:space="preserve">Средний пробег на заказ</t>
  </si>
  <si>
    <t xml:space="preserve">км</t>
  </si>
  <si>
    <t xml:space="preserve">Расход топлива</t>
  </si>
  <si>
    <t xml:space="preserve">л/100 км</t>
  </si>
  <si>
    <t xml:space="preserve">Цена дизеля</t>
  </si>
  <si>
    <t xml:space="preserve">руб./л</t>
  </si>
  <si>
    <t xml:space="preserve">Расходники и ремонт на рейс</t>
  </si>
  <si>
    <t xml:space="preserve">Постоянные расходы в месяц</t>
  </si>
  <si>
    <t xml:space="preserve">Гараж или стоянка</t>
  </si>
  <si>
    <t xml:space="preserve">руб./мес</t>
  </si>
  <si>
    <t xml:space="preserve">Страховка (в месяц)</t>
  </si>
  <si>
    <t xml:space="preserve">Транспортный налог (в месяц)</t>
  </si>
  <si>
    <t xml:space="preserve">Связь, реклама, сайт</t>
  </si>
  <si>
    <t xml:space="preserve">Мойка и дезинфекция</t>
  </si>
  <si>
    <t xml:space="preserve">Бухгалтерия</t>
  </si>
  <si>
    <t xml:space="preserve">Зарплата водителя со взносами</t>
  </si>
  <si>
    <t xml:space="preserve">Платеж по лизингу или кредиту</t>
  </si>
  <si>
    <t xml:space="preserve">Амортизация (откладываем на замену)</t>
  </si>
  <si>
    <t xml:space="preserve">Итого постоянных в месяц</t>
  </si>
  <si>
    <t xml:space="preserve">Налоги</t>
  </si>
  <si>
    <t xml:space="preserve">Ставка налога (УСН Доходы = 6%)</t>
  </si>
  <si>
    <t xml:space="preserve">Фиксированные взносы ИП за год</t>
  </si>
  <si>
    <t xml:space="preserve">руб./год</t>
  </si>
  <si>
    <t xml:space="preserve">Дополнительный взнос 1% с дохода свыше 300 тыс.</t>
  </si>
  <si>
    <t xml:space="preserve">Расчет</t>
  </si>
  <si>
    <t xml:space="preserve">Считается по листу «Допущения». Заполнять ничего не надо.</t>
  </si>
  <si>
    <t xml:space="preserve">Отчет о прибыли</t>
  </si>
  <si>
    <t xml:space="preserve">Показатель</t>
  </si>
  <si>
    <t xml:space="preserve">В месяц</t>
  </si>
  <si>
    <t xml:space="preserve">В год</t>
  </si>
  <si>
    <t xml:space="preserve">Слив</t>
  </si>
  <si>
    <t xml:space="preserve">Топливо</t>
  </si>
  <si>
    <t xml:space="preserve">Расходники и ремонт</t>
  </si>
  <si>
    <t xml:space="preserve">Итого переменные расходы</t>
  </si>
  <si>
    <t xml:space="preserve">Валовая прибыль</t>
  </si>
  <si>
    <t xml:space="preserve">Постоянные расходы</t>
  </si>
  <si>
    <t xml:space="preserve">Операционная прибыль</t>
  </si>
  <si>
    <t xml:space="preserve">Налог</t>
  </si>
  <si>
    <t xml:space="preserve">Страховые взносы</t>
  </si>
  <si>
    <t xml:space="preserve">ЧИСТАЯ ПРИБЫЛЬ</t>
  </si>
  <si>
    <t xml:space="preserve">Ключевые показатели</t>
  </si>
  <si>
    <t xml:space="preserve">Себестоимость одного рейса, руб.</t>
  </si>
  <si>
    <t xml:space="preserve">Маржа с одного рейса, руб.</t>
  </si>
  <si>
    <t xml:space="preserve">Точка безубыточности, заказов в месяц</t>
  </si>
  <si>
    <t xml:space="preserve">Запас прочности (сколько заказов сверх точки)</t>
  </si>
  <si>
    <t xml:space="preserve">Рентабельность по чистой прибыли</t>
  </si>
  <si>
    <t xml:space="preserve">Вложения, руб.</t>
  </si>
  <si>
    <t xml:space="preserve">Окупаемость, месяцев</t>
  </si>
  <si>
    <t xml:space="preserve">Если точка безубыточности близка к 100 заказам - план не сойдется: 100 это уже потолок одной машины.</t>
  </si>
  <si>
    <t xml:space="preserve">Три сценария</t>
  </si>
  <si>
    <t xml:space="preserve">Меняйте заказы и чек в желтых ячейках. Базовый берется с листа «Допущения».</t>
  </si>
  <si>
    <t xml:space="preserve">Пессимистичный</t>
  </si>
  <si>
    <t xml:space="preserve">Базовый</t>
  </si>
  <si>
    <t xml:space="preserve">Оптимистичный</t>
  </si>
  <si>
    <t xml:space="preserve">Средний чек, руб.</t>
  </si>
  <si>
    <t xml:space="preserve">Выручка в месяц, руб.</t>
  </si>
  <si>
    <t xml:space="preserve">Переменные расходы, руб.</t>
  </si>
  <si>
    <t xml:space="preserve">Постоянные расходы, руб.</t>
  </si>
  <si>
    <t xml:space="preserve">Операционная прибыль, руб.</t>
  </si>
  <si>
    <t xml:space="preserve">Налог и взносы, руб.</t>
  </si>
  <si>
    <t xml:space="preserve">ЧИСТАЯ ПРИБЫЛЬ В МЕСЯЦ, руб.</t>
  </si>
  <si>
    <t xml:space="preserve">Чистая прибыль за год, руб.</t>
  </si>
  <si>
    <t xml:space="preserve">Пессимистичный сценарий отвечает на вопрос, переживете ли вы плохой год. Оптимистичный - когда пора думать о второй машине.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</si>
</sst>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"/>
    <numFmt numFmtId="166" formatCode="0"/>
    <numFmt numFmtId="167" formatCode="0.0"/>
    <numFmt numFmtId="168" formatCode="0%"/>
    <numFmt numFmtId="169" formatCode="0.00"/>
    <numFmt numFmtId="170" formatCode="0.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D810A"/>
      <name val="Arial"/>
      <family val="0"/>
      <charset val="1"/>
    </font>
    <font>
      <sz val="9"/>
      <color rgb="FF666666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33333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D810A"/>
        <bgColor rgb="FF339966"/>
      </patternFill>
    </fill>
    <fill>
      <patternFill patternType="solid">
        <fgColor rgb="FFFFFFCC"/>
        <bgColor rgb="FFFFFFFF"/>
      </patternFill>
    </fill>
    <fill>
      <patternFill patternType="solid">
        <fgColor rgb="FFE3F2E1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D810A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3F2E1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5"/>
  </cols>
  <sheetData>
    <row r="1" customFormat="false" ht="21.75" hidden="false" customHeight="true" outlineLevel="0" collapsed="false">
      <c r="A1" s="1" t="s">
        <v>0</v>
      </c>
    </row>
    <row r="2" customFormat="false" ht="25.5" hidden="false" customHeight="true" outlineLevel="0" collapsed="false">
      <c r="A2" s="2" t="s">
        <v>1</v>
      </c>
    </row>
    <row r="3" customFormat="false" ht="15.75" hidden="false" customHeight="true" outlineLevel="0" collapsed="false">
      <c r="A3" s="3"/>
    </row>
    <row r="4" customFormat="false" ht="19.5" hidden="false" customHeight="true" outlineLevel="0" collapsed="false">
      <c r="A4" s="4" t="s">
        <v>2</v>
      </c>
    </row>
    <row r="5" customFormat="false" ht="15.75" hidden="false" customHeight="true" outlineLevel="0" collapsed="false">
      <c r="A5" s="3" t="s">
        <v>3</v>
      </c>
    </row>
    <row r="6" customFormat="false" ht="15.75" hidden="false" customHeight="true" outlineLevel="0" collapsed="false">
      <c r="A6" s="3" t="s">
        <v>4</v>
      </c>
    </row>
    <row r="7" customFormat="false" ht="15.75" hidden="false" customHeight="true" outlineLevel="0" collapsed="false">
      <c r="A7" s="3" t="s">
        <v>5</v>
      </c>
    </row>
    <row r="8" customFormat="false" ht="15.75" hidden="false" customHeight="true" outlineLevel="0" collapsed="false">
      <c r="A8" s="3" t="s">
        <v>6</v>
      </c>
    </row>
    <row r="9" customFormat="false" ht="15.75" hidden="false" customHeight="true" outlineLevel="0" collapsed="false">
      <c r="A9" s="3"/>
    </row>
    <row r="10" customFormat="false" ht="19.5" hidden="false" customHeight="true" outlineLevel="0" collapsed="false">
      <c r="A10" s="4" t="s">
        <v>7</v>
      </c>
    </row>
    <row r="11" customFormat="false" ht="28.5" hidden="false" customHeight="true" outlineLevel="0" collapsed="false">
      <c r="A11" s="3" t="s">
        <v>8</v>
      </c>
    </row>
    <row r="12" customFormat="false" ht="28.5" hidden="false" customHeight="true" outlineLevel="0" collapsed="false">
      <c r="A12" s="3" t="s">
        <v>9</v>
      </c>
    </row>
    <row r="13" customFormat="false" ht="15.75" hidden="false" customHeight="true" outlineLevel="0" collapsed="false">
      <c r="A13" s="3" t="s">
        <v>10</v>
      </c>
    </row>
    <row r="14" customFormat="false" ht="15.75" hidden="false" customHeight="true" outlineLevel="0" collapsed="false">
      <c r="A14" s="3"/>
    </row>
    <row r="15" customFormat="false" ht="19.5" hidden="false" customHeight="true" outlineLevel="0" collapsed="false">
      <c r="A15" s="4" t="s">
        <v>11</v>
      </c>
    </row>
    <row r="16" customFormat="false" ht="15.75" hidden="false" customHeight="true" outlineLevel="0" collapsed="false">
      <c r="A16" s="3" t="s">
        <v>12</v>
      </c>
    </row>
    <row r="17" customFormat="false" ht="15.75" hidden="false" customHeight="true" outlineLevel="0" collapsed="false">
      <c r="A17" s="3" t="s">
        <v>13</v>
      </c>
    </row>
    <row r="18" customFormat="false" ht="15.75" hidden="false" customHeight="true" outlineLevel="0" collapsed="false">
      <c r="A18" s="3" t="s">
        <v>14</v>
      </c>
    </row>
    <row r="19" customFormat="false" ht="15.75" hidden="false" customHeight="true" outlineLevel="0" collapsed="false">
      <c r="A19" s="3" t="s">
        <v>15</v>
      </c>
    </row>
    <row r="20" customFormat="false" ht="15.75" hidden="false" customHeight="true" outlineLevel="0" collapsed="false">
      <c r="A20" s="3" t="s">
        <v>16</v>
      </c>
    </row>
    <row r="21" customFormat="false" ht="15.75" hidden="false" customHeight="true" outlineLevel="0" collapsed="false">
      <c r="A21" s="3"/>
    </row>
    <row r="22" customFormat="false" ht="19.5" hidden="false" customHeight="true" outlineLevel="0" collapsed="false">
      <c r="A22" s="4" t="s">
        <v>17</v>
      </c>
    </row>
    <row r="23" customFormat="false" ht="15.75" hidden="false" customHeight="true" outlineLevel="0" collapsed="false">
      <c r="A23" s="3" t="s">
        <v>18</v>
      </c>
    </row>
    <row r="24" customFormat="false" ht="15.75" hidden="false" customHeight="true" outlineLevel="0" collapsed="false">
      <c r="A24" s="3" t="s">
        <v>19</v>
      </c>
    </row>
    <row r="25" customFormat="false" ht="15.75" hidden="false" customHeight="true" outlineLevel="0" collapsed="false">
      <c r="A25" s="3" t="s">
        <v>20</v>
      </c>
    </row>
    <row r="26" customFormat="false" ht="15.75" hidden="false" customHeight="true" outlineLevel="0" collapsed="false">
      <c r="A26" s="3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6"/>
    <col collapsed="false" customWidth="true" hidden="false" outlineLevel="0" max="3" min="3" style="0" width="78"/>
  </cols>
  <sheetData>
    <row r="1" customFormat="false" ht="17.35" hidden="false" customHeight="false" outlineLevel="0" collapsed="false">
      <c r="A1" s="1" t="s">
        <v>22</v>
      </c>
    </row>
    <row r="2" customFormat="false" ht="15" hidden="false" customHeight="false" outlineLevel="0" collapsed="false">
      <c r="A2" s="5" t="s">
        <v>23</v>
      </c>
    </row>
    <row r="4" customFormat="false" ht="15" hidden="false" customHeight="false" outlineLevel="0" collapsed="false">
      <c r="A4" s="6" t="s">
        <v>24</v>
      </c>
      <c r="B4" s="6" t="s">
        <v>25</v>
      </c>
      <c r="C4" s="6" t="s">
        <v>26</v>
      </c>
    </row>
    <row r="5" customFormat="false" ht="27.75" hidden="false" customHeight="true" outlineLevel="0" collapsed="false">
      <c r="A5" s="7" t="s">
        <v>27</v>
      </c>
      <c r="B5" s="8" t="n">
        <v>1300000</v>
      </c>
      <c r="C5" s="9" t="s">
        <v>28</v>
      </c>
    </row>
    <row r="6" customFormat="false" ht="27.75" hidden="false" customHeight="true" outlineLevel="0" collapsed="false">
      <c r="A6" s="7" t="s">
        <v>29</v>
      </c>
      <c r="B6" s="8" t="n">
        <v>0</v>
      </c>
      <c r="C6" s="9" t="s">
        <v>30</v>
      </c>
    </row>
    <row r="7" customFormat="false" ht="27.75" hidden="false" customHeight="true" outlineLevel="0" collapsed="false">
      <c r="A7" s="7" t="s">
        <v>31</v>
      </c>
      <c r="B7" s="8" t="n">
        <v>5000</v>
      </c>
      <c r="C7" s="9" t="s">
        <v>32</v>
      </c>
    </row>
    <row r="8" customFormat="false" ht="27.75" hidden="false" customHeight="true" outlineLevel="0" collapsed="false">
      <c r="A8" s="7" t="s">
        <v>33</v>
      </c>
      <c r="B8" s="8" t="n">
        <v>0</v>
      </c>
      <c r="C8" s="9" t="s">
        <v>34</v>
      </c>
    </row>
    <row r="9" customFormat="false" ht="27.75" hidden="false" customHeight="true" outlineLevel="0" collapsed="false">
      <c r="A9" s="7" t="s">
        <v>35</v>
      </c>
      <c r="B9" s="8" t="n">
        <v>15000</v>
      </c>
      <c r="C9" s="9" t="s">
        <v>36</v>
      </c>
    </row>
    <row r="10" customFormat="false" ht="27.75" hidden="false" customHeight="true" outlineLevel="0" collapsed="false">
      <c r="A10" s="7" t="s">
        <v>37</v>
      </c>
      <c r="B10" s="8" t="n">
        <v>40000</v>
      </c>
      <c r="C10" s="9" t="s">
        <v>38</v>
      </c>
    </row>
    <row r="11" customFormat="false" ht="27.75" hidden="false" customHeight="true" outlineLevel="0" collapsed="false">
      <c r="A11" s="7" t="s">
        <v>39</v>
      </c>
      <c r="B11" s="8" t="n">
        <v>70000</v>
      </c>
      <c r="C11" s="9" t="s">
        <v>40</v>
      </c>
    </row>
    <row r="12" customFormat="false" ht="27.75" hidden="false" customHeight="true" outlineLevel="0" collapsed="false">
      <c r="A12" s="7" t="s">
        <v>41</v>
      </c>
      <c r="B12" s="8" t="n">
        <v>20000</v>
      </c>
      <c r="C12" s="9" t="s">
        <v>42</v>
      </c>
    </row>
    <row r="13" customFormat="false" ht="27.75" hidden="false" customHeight="true" outlineLevel="0" collapsed="false">
      <c r="A13" s="7" t="s">
        <v>43</v>
      </c>
      <c r="B13" s="8" t="n">
        <v>50000</v>
      </c>
      <c r="C13" s="9" t="s">
        <v>44</v>
      </c>
    </row>
    <row r="14" customFormat="false" ht="15" hidden="false" customHeight="false" outlineLevel="0" collapsed="false">
      <c r="A14" s="10" t="s">
        <v>45</v>
      </c>
      <c r="B14" s="11" t="n">
        <f aca="false">SUM(B5:B13)</f>
        <v>1500000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4"/>
  </cols>
  <sheetData>
    <row r="1" customFormat="false" ht="17.35" hidden="false" customHeight="false" outlineLevel="0" collapsed="false">
      <c r="A1" s="1" t="s">
        <v>46</v>
      </c>
    </row>
    <row r="2" customFormat="false" ht="15" hidden="false" customHeight="false" outlineLevel="0" collapsed="false">
      <c r="A2" s="5" t="s">
        <v>47</v>
      </c>
    </row>
    <row r="4" customFormat="false" ht="15" hidden="false" customHeight="false" outlineLevel="0" collapsed="false">
      <c r="A4" s="4" t="s">
        <v>48</v>
      </c>
    </row>
    <row r="5" customFormat="false" ht="15" hidden="false" customHeight="false" outlineLevel="0" collapsed="false">
      <c r="A5" s="6" t="s">
        <v>49</v>
      </c>
      <c r="B5" s="6" t="s">
        <v>50</v>
      </c>
      <c r="C5" s="6" t="s">
        <v>51</v>
      </c>
    </row>
    <row r="6" customFormat="false" ht="15" hidden="false" customHeight="false" outlineLevel="0" collapsed="false">
      <c r="A6" s="7" t="s">
        <v>52</v>
      </c>
      <c r="B6" s="12" t="n">
        <v>70</v>
      </c>
      <c r="C6" s="7" t="s">
        <v>53</v>
      </c>
    </row>
    <row r="7" customFormat="false" ht="15" hidden="false" customHeight="false" outlineLevel="0" collapsed="false">
      <c r="A7" s="7" t="s">
        <v>54</v>
      </c>
      <c r="B7" s="8" t="n">
        <v>3000</v>
      </c>
      <c r="C7" s="7" t="s">
        <v>55</v>
      </c>
    </row>
    <row r="8" customFormat="false" ht="15" hidden="false" customHeight="false" outlineLevel="0" collapsed="false">
      <c r="A8" s="7" t="s">
        <v>56</v>
      </c>
      <c r="B8" s="13" t="n">
        <v>4</v>
      </c>
      <c r="C8" s="7" t="s">
        <v>57</v>
      </c>
    </row>
    <row r="9" customFormat="false" ht="15" hidden="false" customHeight="false" outlineLevel="0" collapsed="false">
      <c r="A9" s="7" t="s">
        <v>58</v>
      </c>
      <c r="B9" s="14" t="n">
        <v>0.1</v>
      </c>
      <c r="C9" s="7" t="s">
        <v>59</v>
      </c>
    </row>
    <row r="11" customFormat="false" ht="15" hidden="false" customHeight="false" outlineLevel="0" collapsed="false">
      <c r="A11" s="4" t="s">
        <v>60</v>
      </c>
    </row>
    <row r="12" customFormat="false" ht="15" hidden="false" customHeight="false" outlineLevel="0" collapsed="false">
      <c r="A12" s="6" t="s">
        <v>49</v>
      </c>
      <c r="B12" s="6" t="s">
        <v>50</v>
      </c>
      <c r="C12" s="6" t="s">
        <v>51</v>
      </c>
    </row>
    <row r="13" customFormat="false" ht="15" hidden="false" customHeight="false" outlineLevel="0" collapsed="false">
      <c r="A13" s="7" t="s">
        <v>61</v>
      </c>
      <c r="B13" s="12" t="n">
        <v>55</v>
      </c>
      <c r="C13" s="7" t="s">
        <v>62</v>
      </c>
    </row>
    <row r="14" customFormat="false" ht="15" hidden="false" customHeight="false" outlineLevel="0" collapsed="false">
      <c r="A14" s="7" t="s">
        <v>63</v>
      </c>
      <c r="B14" s="12" t="n">
        <v>45</v>
      </c>
      <c r="C14" s="7" t="s">
        <v>64</v>
      </c>
    </row>
    <row r="15" customFormat="false" ht="15" hidden="false" customHeight="false" outlineLevel="0" collapsed="false">
      <c r="A15" s="7" t="s">
        <v>65</v>
      </c>
      <c r="B15" s="13" t="n">
        <v>28</v>
      </c>
      <c r="C15" s="7" t="s">
        <v>66</v>
      </c>
    </row>
    <row r="16" customFormat="false" ht="15" hidden="false" customHeight="false" outlineLevel="0" collapsed="false">
      <c r="A16" s="7" t="s">
        <v>67</v>
      </c>
      <c r="B16" s="15" t="n">
        <v>88.48</v>
      </c>
      <c r="C16" s="7" t="s">
        <v>68</v>
      </c>
    </row>
    <row r="17" customFormat="false" ht="15" hidden="false" customHeight="false" outlineLevel="0" collapsed="false">
      <c r="A17" s="7" t="s">
        <v>69</v>
      </c>
      <c r="B17" s="8" t="n">
        <v>120</v>
      </c>
      <c r="C17" s="7" t="s">
        <v>55</v>
      </c>
    </row>
    <row r="19" customFormat="false" ht="15" hidden="false" customHeight="false" outlineLevel="0" collapsed="false">
      <c r="A19" s="4" t="s">
        <v>70</v>
      </c>
    </row>
    <row r="20" customFormat="false" ht="15" hidden="false" customHeight="false" outlineLevel="0" collapsed="false">
      <c r="A20" s="6" t="s">
        <v>49</v>
      </c>
      <c r="B20" s="6" t="s">
        <v>50</v>
      </c>
      <c r="C20" s="6" t="s">
        <v>51</v>
      </c>
    </row>
    <row r="21" customFormat="false" ht="15" hidden="false" customHeight="false" outlineLevel="0" collapsed="false">
      <c r="A21" s="7" t="s">
        <v>71</v>
      </c>
      <c r="B21" s="8" t="n">
        <v>12000</v>
      </c>
      <c r="C21" s="7" t="s">
        <v>72</v>
      </c>
    </row>
    <row r="22" customFormat="false" ht="15" hidden="false" customHeight="false" outlineLevel="0" collapsed="false">
      <c r="A22" s="7" t="s">
        <v>73</v>
      </c>
      <c r="B22" s="8" t="n">
        <v>1500</v>
      </c>
      <c r="C22" s="7" t="s">
        <v>72</v>
      </c>
    </row>
    <row r="23" customFormat="false" ht="15" hidden="false" customHeight="false" outlineLevel="0" collapsed="false">
      <c r="A23" s="7" t="s">
        <v>74</v>
      </c>
      <c r="B23" s="8" t="n">
        <v>300</v>
      </c>
      <c r="C23" s="7" t="s">
        <v>72</v>
      </c>
    </row>
    <row r="24" customFormat="false" ht="15" hidden="false" customHeight="false" outlineLevel="0" collapsed="false">
      <c r="A24" s="7" t="s">
        <v>75</v>
      </c>
      <c r="B24" s="8" t="n">
        <v>8000</v>
      </c>
      <c r="C24" s="7" t="s">
        <v>72</v>
      </c>
    </row>
    <row r="25" customFormat="false" ht="15" hidden="false" customHeight="false" outlineLevel="0" collapsed="false">
      <c r="A25" s="7" t="s">
        <v>76</v>
      </c>
      <c r="B25" s="8" t="n">
        <v>3000</v>
      </c>
      <c r="C25" s="7" t="s">
        <v>72</v>
      </c>
    </row>
    <row r="26" customFormat="false" ht="15" hidden="false" customHeight="false" outlineLevel="0" collapsed="false">
      <c r="A26" s="7" t="s">
        <v>77</v>
      </c>
      <c r="B26" s="8" t="n">
        <v>3000</v>
      </c>
      <c r="C26" s="7" t="s">
        <v>72</v>
      </c>
    </row>
    <row r="27" customFormat="false" ht="15" hidden="false" customHeight="false" outlineLevel="0" collapsed="false">
      <c r="A27" s="7" t="s">
        <v>78</v>
      </c>
      <c r="B27" s="8" t="n">
        <v>0</v>
      </c>
      <c r="C27" s="7" t="s">
        <v>72</v>
      </c>
    </row>
    <row r="28" customFormat="false" ht="15" hidden="false" customHeight="false" outlineLevel="0" collapsed="false">
      <c r="A28" s="7" t="s">
        <v>79</v>
      </c>
      <c r="B28" s="8" t="n">
        <v>0</v>
      </c>
      <c r="C28" s="7" t="s">
        <v>72</v>
      </c>
    </row>
    <row r="29" customFormat="false" ht="15" hidden="false" customHeight="false" outlineLevel="0" collapsed="false">
      <c r="A29" s="7" t="s">
        <v>80</v>
      </c>
      <c r="B29" s="8" t="n">
        <v>20000</v>
      </c>
      <c r="C29" s="7" t="s">
        <v>72</v>
      </c>
    </row>
    <row r="30" customFormat="false" ht="15" hidden="false" customHeight="false" outlineLevel="0" collapsed="false">
      <c r="A30" s="10" t="s">
        <v>81</v>
      </c>
      <c r="B30" s="11" t="n">
        <f aca="false">SUM(B21:B29)</f>
        <v>47800</v>
      </c>
    </row>
    <row r="32" customFormat="false" ht="15" hidden="false" customHeight="false" outlineLevel="0" collapsed="false">
      <c r="A32" s="4" t="s">
        <v>82</v>
      </c>
    </row>
    <row r="33" customFormat="false" ht="15" hidden="false" customHeight="false" outlineLevel="0" collapsed="false">
      <c r="A33" s="6" t="s">
        <v>49</v>
      </c>
      <c r="B33" s="6" t="s">
        <v>50</v>
      </c>
      <c r="C33" s="6" t="s">
        <v>51</v>
      </c>
    </row>
    <row r="34" customFormat="false" ht="15" hidden="false" customHeight="false" outlineLevel="0" collapsed="false">
      <c r="A34" s="7" t="s">
        <v>83</v>
      </c>
      <c r="B34" s="14" t="n">
        <v>0.06</v>
      </c>
      <c r="C34" s="7" t="s">
        <v>59</v>
      </c>
    </row>
    <row r="35" customFormat="false" ht="15" hidden="false" customHeight="false" outlineLevel="0" collapsed="false">
      <c r="A35" s="7" t="s">
        <v>84</v>
      </c>
      <c r="B35" s="8" t="n">
        <v>57390</v>
      </c>
      <c r="C35" s="7" t="s">
        <v>85</v>
      </c>
    </row>
    <row r="36" customFormat="false" ht="15" hidden="false" customHeight="false" outlineLevel="0" collapsed="false">
      <c r="A36" s="7" t="s">
        <v>86</v>
      </c>
      <c r="B36" s="14" t="n">
        <v>0.01</v>
      </c>
      <c r="C36" s="7" t="s">
        <v>59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3" min="2" style="0" width="18"/>
  </cols>
  <sheetData>
    <row r="1" customFormat="false" ht="17.35" hidden="false" customHeight="false" outlineLevel="0" collapsed="false">
      <c r="A1" s="1" t="s">
        <v>87</v>
      </c>
    </row>
    <row r="2" customFormat="false" ht="15" hidden="false" customHeight="false" outlineLevel="0" collapsed="false">
      <c r="A2" s="5" t="s">
        <v>88</v>
      </c>
    </row>
    <row r="4" customFormat="false" ht="15" hidden="false" customHeight="false" outlineLevel="0" collapsed="false">
      <c r="A4" s="4" t="s">
        <v>89</v>
      </c>
    </row>
    <row r="5" customFormat="false" ht="15" hidden="false" customHeight="false" outlineLevel="0" collapsed="false">
      <c r="A5" s="6" t="s">
        <v>90</v>
      </c>
      <c r="B5" s="6" t="s">
        <v>91</v>
      </c>
      <c r="C5" s="6" t="s">
        <v>92</v>
      </c>
    </row>
    <row r="6" customFormat="false" ht="15" hidden="false" customHeight="false" outlineLevel="0" collapsed="false">
      <c r="A6" s="10" t="s">
        <v>48</v>
      </c>
      <c r="B6" s="16" t="n">
        <f aca="false">Допущения!B6*Допущения!B7*(1+Допущения!B9)</f>
        <v>231000</v>
      </c>
      <c r="C6" s="16" t="n">
        <f aca="false">B6*12</f>
        <v>2772000</v>
      </c>
    </row>
    <row r="7" customFormat="false" ht="15" hidden="false" customHeight="false" outlineLevel="0" collapsed="false">
      <c r="A7" s="7" t="s">
        <v>93</v>
      </c>
      <c r="B7" s="17" t="n">
        <f aca="false">-Допущения!B6*Допущения!B8*Допущения!B13</f>
        <v>-15400</v>
      </c>
      <c r="C7" s="17" t="n">
        <f aca="false">B7*12</f>
        <v>-184800</v>
      </c>
    </row>
    <row r="8" customFormat="false" ht="15" hidden="false" customHeight="false" outlineLevel="0" collapsed="false">
      <c r="A8" s="7" t="s">
        <v>94</v>
      </c>
      <c r="B8" s="17" t="n">
        <f aca="false">-Допущения!B6*Допущения!B14/100*Допущения!B15*Допущения!B16</f>
        <v>-78039.36</v>
      </c>
      <c r="C8" s="17" t="n">
        <f aca="false">B8*12</f>
        <v>-936472.32</v>
      </c>
    </row>
    <row r="9" customFormat="false" ht="15" hidden="false" customHeight="false" outlineLevel="0" collapsed="false">
      <c r="A9" s="7" t="s">
        <v>95</v>
      </c>
      <c r="B9" s="17" t="n">
        <f aca="false">-Допущения!B6*Допущения!B17</f>
        <v>-8400</v>
      </c>
      <c r="C9" s="17" t="n">
        <f aca="false">B9*12</f>
        <v>-100800</v>
      </c>
    </row>
    <row r="10" customFormat="false" ht="15" hidden="false" customHeight="false" outlineLevel="0" collapsed="false">
      <c r="A10" s="10" t="s">
        <v>96</v>
      </c>
      <c r="B10" s="16" t="n">
        <f aca="false">SUM(B7:B9)</f>
        <v>-101839.36</v>
      </c>
      <c r="C10" s="16" t="n">
        <f aca="false">B10*12</f>
        <v>-1222072.32</v>
      </c>
    </row>
    <row r="11" customFormat="false" ht="15" hidden="false" customHeight="false" outlineLevel="0" collapsed="false">
      <c r="A11" s="10" t="s">
        <v>97</v>
      </c>
      <c r="B11" s="16" t="n">
        <f aca="false">B6+B10</f>
        <v>129160.64</v>
      </c>
      <c r="C11" s="16" t="n">
        <f aca="false">B11*12</f>
        <v>1549927.68</v>
      </c>
    </row>
    <row r="12" customFormat="false" ht="15" hidden="false" customHeight="false" outlineLevel="0" collapsed="false">
      <c r="A12" s="7" t="s">
        <v>98</v>
      </c>
      <c r="B12" s="17" t="n">
        <f aca="false">-Допущения!B30</f>
        <v>-47800</v>
      </c>
      <c r="C12" s="17" t="n">
        <f aca="false">B12*12</f>
        <v>-573600</v>
      </c>
    </row>
    <row r="13" customFormat="false" ht="15" hidden="false" customHeight="false" outlineLevel="0" collapsed="false">
      <c r="A13" s="10" t="s">
        <v>99</v>
      </c>
      <c r="B13" s="16" t="n">
        <f aca="false">B11+B12</f>
        <v>81360.64</v>
      </c>
      <c r="C13" s="16" t="n">
        <f aca="false">B13*12</f>
        <v>976327.68</v>
      </c>
    </row>
    <row r="14" customFormat="false" ht="15" hidden="false" customHeight="false" outlineLevel="0" collapsed="false">
      <c r="A14" s="7" t="s">
        <v>100</v>
      </c>
      <c r="B14" s="17" t="n">
        <f aca="false">-B6*Допущения!B34</f>
        <v>-13860</v>
      </c>
      <c r="C14" s="17" t="n">
        <f aca="false">B14*12</f>
        <v>-166320</v>
      </c>
    </row>
    <row r="15" customFormat="false" ht="15" hidden="false" customHeight="false" outlineLevel="0" collapsed="false">
      <c r="A15" s="7" t="s">
        <v>101</v>
      </c>
      <c r="B15" s="17" t="n">
        <f aca="false">-(Допущения!B35+MAX(0,B6*12-300000)*Допущения!B36)/12</f>
        <v>-6842.5</v>
      </c>
      <c r="C15" s="17" t="n">
        <f aca="false">B15*12</f>
        <v>-82110</v>
      </c>
    </row>
    <row r="16" customFormat="false" ht="15" hidden="false" customHeight="false" outlineLevel="0" collapsed="false">
      <c r="A16" s="10" t="s">
        <v>102</v>
      </c>
      <c r="B16" s="11" t="n">
        <f aca="false">B13+B14+B15</f>
        <v>60658.14</v>
      </c>
      <c r="C16" s="11" t="n">
        <f aca="false">B16*12</f>
        <v>727897.68</v>
      </c>
    </row>
    <row r="18" customFormat="false" ht="15" hidden="false" customHeight="false" outlineLevel="0" collapsed="false">
      <c r="A18" s="4" t="s">
        <v>103</v>
      </c>
    </row>
    <row r="19" customFormat="false" ht="15" hidden="false" customHeight="false" outlineLevel="0" collapsed="false">
      <c r="A19" s="6" t="s">
        <v>90</v>
      </c>
      <c r="B19" s="6" t="s">
        <v>50</v>
      </c>
    </row>
    <row r="20" customFormat="false" ht="15" hidden="false" customHeight="false" outlineLevel="0" collapsed="false">
      <c r="A20" s="7" t="s">
        <v>104</v>
      </c>
      <c r="B20" s="16" t="n">
        <f aca="false">IFERROR(-B10/Допущения!B6,0)</f>
        <v>1454.848</v>
      </c>
    </row>
    <row r="21" customFormat="false" ht="15" hidden="false" customHeight="false" outlineLevel="0" collapsed="false">
      <c r="A21" s="7" t="s">
        <v>105</v>
      </c>
      <c r="B21" s="16" t="n">
        <f aca="false">Допущения!B7*(1+Допущения!B9)-B20</f>
        <v>1845.152</v>
      </c>
    </row>
    <row r="22" customFormat="false" ht="15" hidden="false" customHeight="false" outlineLevel="0" collapsed="false">
      <c r="A22" s="7" t="s">
        <v>106</v>
      </c>
      <c r="B22" s="18" t="n">
        <f aca="false">IFERROR(ROUNDUP(Допущения!B30/B21,0),0)</f>
        <v>26</v>
      </c>
    </row>
    <row r="23" customFormat="false" ht="15" hidden="false" customHeight="false" outlineLevel="0" collapsed="false">
      <c r="A23" s="7" t="s">
        <v>107</v>
      </c>
      <c r="B23" s="18" t="n">
        <f aca="false">IFERROR(Допущения!B6-B22,0)</f>
        <v>44</v>
      </c>
    </row>
    <row r="24" customFormat="false" ht="15" hidden="false" customHeight="false" outlineLevel="0" collapsed="false">
      <c r="A24" s="7" t="s">
        <v>108</v>
      </c>
      <c r="B24" s="19" t="n">
        <f aca="false">IFERROR(B16/B6,0)</f>
        <v>0.262589350649351</v>
      </c>
    </row>
    <row r="25" customFormat="false" ht="15" hidden="false" customHeight="false" outlineLevel="0" collapsed="false">
      <c r="A25" s="7" t="s">
        <v>109</v>
      </c>
      <c r="B25" s="16" t="n">
        <f aca="false">Вложения!B14</f>
        <v>1500000</v>
      </c>
    </row>
    <row r="26" customFormat="false" ht="15" hidden="false" customHeight="false" outlineLevel="0" collapsed="false">
      <c r="A26" s="7" t="s">
        <v>110</v>
      </c>
      <c r="B26" s="20" t="n">
        <f aca="false">IFERROR(IF(B16&lt;=0,"не окупается",B25/B16),0)</f>
        <v>24.7287503375474</v>
      </c>
    </row>
    <row r="28" customFormat="false" ht="15" hidden="false" customHeight="false" outlineLevel="0" collapsed="false">
      <c r="A28" s="5" t="s">
        <v>111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4" min="2" style="0" width="20"/>
  </cols>
  <sheetData>
    <row r="1" customFormat="false" ht="17.35" hidden="false" customHeight="false" outlineLevel="0" collapsed="false">
      <c r="A1" s="1" t="s">
        <v>112</v>
      </c>
    </row>
    <row r="2" customFormat="false" ht="15" hidden="false" customHeight="false" outlineLevel="0" collapsed="false">
      <c r="A2" s="5" t="s">
        <v>113</v>
      </c>
    </row>
    <row r="4" customFormat="false" ht="15" hidden="false" customHeight="false" outlineLevel="0" collapsed="false">
      <c r="A4" s="6" t="s">
        <v>49</v>
      </c>
      <c r="B4" s="6" t="s">
        <v>114</v>
      </c>
      <c r="C4" s="6" t="s">
        <v>115</v>
      </c>
      <c r="D4" s="6" t="s">
        <v>116</v>
      </c>
    </row>
    <row r="5" customFormat="false" ht="15" hidden="false" customHeight="false" outlineLevel="0" collapsed="false">
      <c r="A5" s="7" t="s">
        <v>52</v>
      </c>
      <c r="B5" s="12" t="n">
        <v>42</v>
      </c>
      <c r="C5" s="21" t="n">
        <f aca="false">Допущения!B6</f>
        <v>70</v>
      </c>
      <c r="D5" s="12" t="n">
        <v>100</v>
      </c>
    </row>
    <row r="6" customFormat="false" ht="15" hidden="false" customHeight="false" outlineLevel="0" collapsed="false">
      <c r="A6" s="7" t="s">
        <v>117</v>
      </c>
      <c r="B6" s="8" t="n">
        <v>2550</v>
      </c>
      <c r="C6" s="17" t="n">
        <f aca="false">Допущения!B7</f>
        <v>3000</v>
      </c>
      <c r="D6" s="8" t="n">
        <v>3300</v>
      </c>
    </row>
    <row r="7" customFormat="false" ht="15" hidden="false" customHeight="false" outlineLevel="0" collapsed="false">
      <c r="A7" s="7" t="s">
        <v>118</v>
      </c>
      <c r="B7" s="17" t="n">
        <f aca="false">B5*B6*(1+Допущения!B9)</f>
        <v>117810</v>
      </c>
      <c r="C7" s="17" t="n">
        <f aca="false">C5*C6*(1+Допущения!B9)</f>
        <v>231000</v>
      </c>
      <c r="D7" s="17" t="n">
        <f aca="false">D5*D6*(1+Допущения!B9)</f>
        <v>363000</v>
      </c>
    </row>
    <row r="8" customFormat="false" ht="15" hidden="false" customHeight="false" outlineLevel="0" collapsed="false">
      <c r="A8" s="7" t="s">
        <v>119</v>
      </c>
      <c r="B8" s="17" t="n">
        <f aca="false">B5*(Допущения!B8*Допущения!B13+Допущения!B14/100*Допущения!B15*Допущения!B16+Допущения!B17)</f>
        <v>61103.616</v>
      </c>
      <c r="C8" s="17" t="n">
        <f aca="false">C5*(Допущения!B8*Допущения!B13+Допущения!B14/100*Допущения!B15*Допущения!B16+Допущения!B17)</f>
        <v>101839.36</v>
      </c>
      <c r="D8" s="17" t="n">
        <f aca="false">D5*(Допущения!B8*Допущения!B13+Допущения!B14/100*Допущения!B15*Допущения!B16+Допущения!B17)</f>
        <v>145484.8</v>
      </c>
    </row>
    <row r="9" customFormat="false" ht="15" hidden="false" customHeight="false" outlineLevel="0" collapsed="false">
      <c r="A9" s="7" t="s">
        <v>120</v>
      </c>
      <c r="B9" s="17" t="n">
        <f aca="false">Допущения!B30</f>
        <v>47800</v>
      </c>
      <c r="C9" s="17" t="n">
        <f aca="false">Допущения!B30</f>
        <v>47800</v>
      </c>
      <c r="D9" s="17" t="n">
        <f aca="false">Допущения!B30</f>
        <v>47800</v>
      </c>
    </row>
    <row r="10" customFormat="false" ht="15" hidden="false" customHeight="false" outlineLevel="0" collapsed="false">
      <c r="A10" s="10" t="s">
        <v>121</v>
      </c>
      <c r="B10" s="16" t="n">
        <f aca="false">B7-B8-B9</f>
        <v>8906.38400000002</v>
      </c>
      <c r="C10" s="16" t="n">
        <f aca="false">C7-C8-C9</f>
        <v>81360.64</v>
      </c>
      <c r="D10" s="16" t="n">
        <f aca="false">D7-D8-D9</f>
        <v>169715.2</v>
      </c>
    </row>
    <row r="11" customFormat="false" ht="15" hidden="false" customHeight="false" outlineLevel="0" collapsed="false">
      <c r="A11" s="7" t="s">
        <v>122</v>
      </c>
      <c r="B11" s="17" t="n">
        <f aca="false">B7*Допущения!B34+(Допущения!B35+MAX(0,B7*12-300000)*Допущения!B36)/12</f>
        <v>12779.2</v>
      </c>
      <c r="C11" s="17" t="n">
        <f aca="false">C7*Допущения!B34+(Допущения!B35+MAX(0,C7*12-300000)*Допущения!B36)/12</f>
        <v>20702.5</v>
      </c>
      <c r="D11" s="17" t="n">
        <f aca="false">D7*Допущения!B34+(Допущения!B35+MAX(0,D7*12-300000)*Допущения!B36)/12</f>
        <v>29942.5</v>
      </c>
    </row>
    <row r="12" customFormat="false" ht="15" hidden="false" customHeight="false" outlineLevel="0" collapsed="false">
      <c r="A12" s="10" t="s">
        <v>123</v>
      </c>
      <c r="B12" s="11" t="n">
        <f aca="false">B10-B11</f>
        <v>-3872.81599999998</v>
      </c>
      <c r="C12" s="11" t="n">
        <f aca="false">C10-C11</f>
        <v>60658.14</v>
      </c>
      <c r="D12" s="11" t="n">
        <f aca="false">D10-D11</f>
        <v>139772.7</v>
      </c>
    </row>
    <row r="13" customFormat="false" ht="15" hidden="false" customHeight="false" outlineLevel="0" collapsed="false">
      <c r="A13" s="10" t="s">
        <v>124</v>
      </c>
      <c r="B13" s="16" t="n">
        <f aca="false">B12*12</f>
        <v>-46473.7919999998</v>
      </c>
      <c r="C13" s="16" t="n">
        <f aca="false">C12*12</f>
        <v>727897.68</v>
      </c>
      <c r="D13" s="16" t="n">
        <f aca="false">D12*12</f>
        <v>1677272.4</v>
      </c>
    </row>
    <row r="14" customFormat="false" ht="15" hidden="false" customHeight="false" outlineLevel="0" collapsed="false">
      <c r="A14" s="7" t="s">
        <v>110</v>
      </c>
      <c r="B14" s="22" t="str">
        <f aca="false">IFERROR(IF(B12&lt;=0,"не окупается",Вложения!B14/B12),0)</f>
        <v>не окупается</v>
      </c>
      <c r="C14" s="22" t="n">
        <f aca="false">IFERROR(IF(C12&lt;=0,"не окупается",Вложения!B14/C12),0)</f>
        <v>24.7287503375474</v>
      </c>
      <c r="D14" s="22" t="n">
        <f aca="false">IFERROR(IF(D12&lt;=0,"не окупается",Вложения!B14/D12),0)</f>
        <v>10.7317094110652</v>
      </c>
    </row>
    <row r="16" customFormat="false" ht="15" hidden="false" customHeight="false" outlineLevel="0" collapsed="false">
      <c r="A16" s="5" t="s">
        <v>125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2026-08-23T07:22:38Z</dcterms:created>
  <dc:creator>openpyxl</dc:creator>
  <dc:description/>
  <dc:language>en-US</dc:language>
  <cp:lastModifiedBy/>
  <dcterms:modified xsi:type="dcterms:W3CDTF">2026-08-23T07:22:38Z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